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12psi chart" sheetId="1" r:id="rId1"/>
    <sheet name="17 psi chart" sheetId="2" r:id="rId2"/>
    <sheet name="psi" sheetId="3" r:id="rId3"/>
    <sheet name="turbo" sheetId="4" r:id="rId4"/>
  </sheets>
  <definedNames>
    <definedName name="ambient">'turbo'!$V$11</definedName>
    <definedName name="Boost">'turbo'!$A$8:$A$15</definedName>
    <definedName name="Boost_psi">'psi'!$A$4</definedName>
    <definedName name="cf_to_cm">'turbo'!$S$2</definedName>
    <definedName name="Ci">'turbo'!$V$12</definedName>
    <definedName name="Ci_absolute">'turbo'!$W$12</definedName>
    <definedName name="Co">'turbo'!$V$13</definedName>
    <definedName name="Pratio">'turbo'!$B$8:$B$15</definedName>
    <definedName name="Pressure">'turbo'!$U$8</definedName>
    <definedName name="Pressure_Ratio">'psi'!$B$4</definedName>
    <definedName name="revs">'psi'!$A$12:$A$15</definedName>
    <definedName name="rpm">'turbo'!$A$22:$A$25</definedName>
    <definedName name="Temp_rise_best">'psi'!$C$4</definedName>
  </definedNames>
  <calcPr fullCalcOnLoad="1"/>
</workbook>
</file>

<file path=xl/sharedStrings.xml><?xml version="1.0" encoding="utf-8"?>
<sst xmlns="http://schemas.openxmlformats.org/spreadsheetml/2006/main" count="49" uniqueCount="37">
  <si>
    <t>Pratio</t>
  </si>
  <si>
    <t>cid</t>
  </si>
  <si>
    <t>Absolute</t>
  </si>
  <si>
    <t>Boost psi</t>
  </si>
  <si>
    <t>m3/s</t>
  </si>
  <si>
    <t>Litres</t>
  </si>
  <si>
    <t>cf to cm</t>
  </si>
  <si>
    <t>at 4000 rpm</t>
  </si>
  <si>
    <t>cfm</t>
  </si>
  <si>
    <t>F</t>
  </si>
  <si>
    <t>rpm</t>
  </si>
  <si>
    <t>Compressor Outlet temp</t>
  </si>
  <si>
    <t xml:space="preserve">Atmospheric Pressure </t>
  </si>
  <si>
    <t>12psi boost</t>
  </si>
  <si>
    <t>17psi boost</t>
  </si>
  <si>
    <t>15psi boost</t>
  </si>
  <si>
    <t>Airflow under boost</t>
  </si>
  <si>
    <t xml:space="preserve">Compressor </t>
  </si>
  <si>
    <t>Efficiency</t>
  </si>
  <si>
    <t>Temp rise</t>
  </si>
  <si>
    <t>Max load</t>
  </si>
  <si>
    <t xml:space="preserve">Compressor inlet temp </t>
  </si>
  <si>
    <t>Actual Rise</t>
  </si>
  <si>
    <t>Intercooler outlet</t>
  </si>
  <si>
    <t>Ambient temp</t>
  </si>
  <si>
    <t>(Lbs/min) / 0.0749 = CFM</t>
  </si>
  <si>
    <t>lb/min</t>
  </si>
  <si>
    <t>at sea level</t>
  </si>
  <si>
    <t xml:space="preserve">Intercooler </t>
  </si>
  <si>
    <t>efficiency</t>
  </si>
  <si>
    <t xml:space="preserve">Basic Airflow </t>
  </si>
  <si>
    <t>Measured</t>
  </si>
  <si>
    <t>Best</t>
  </si>
  <si>
    <t>20psi boost</t>
  </si>
  <si>
    <t>10psi boost</t>
  </si>
  <si>
    <t>Low</t>
  </si>
  <si>
    <t>High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</si>
</sst>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color indexed="9"/>
      <name val="Arial"/>
      <family val="0"/>
    </font>
    <font>
      <sz val="10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168" fontId="0" fillId="0" borderId="0" xfId="0" applyNumberFormat="1" applyFill="1" applyBorder="1" applyAlignment="1">
      <alignment/>
    </xf>
    <xf numFmtId="168" fontId="3" fillId="2" borderId="2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 Psi boost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turbo!$N$6</c:f>
              <c:strCache>
                <c:ptCount val="1"/>
                <c:pt idx="0">
                  <c:v>2.5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turbo!#REF!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turbo!$N$10:$N$13</c:f>
              <c:numCache>
                <c:ptCount val="4"/>
                <c:pt idx="0">
                  <c:v>0.09550606639481951</c:v>
                </c:pt>
                <c:pt idx="1">
                  <c:v>0.12734142185975933</c:v>
                </c:pt>
                <c:pt idx="2">
                  <c:v>0.15917677732469918</c:v>
                </c:pt>
                <c:pt idx="3">
                  <c:v>0.19101213278963902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turbo!$O$6</c:f>
              <c:strCache>
                <c:ptCount val="1"/>
                <c:pt idx="0">
                  <c:v>2.8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turbo!#REF!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turbo!$O$10:$O$13</c:f>
              <c:numCache>
                <c:ptCount val="4"/>
                <c:pt idx="0">
                  <c:v>0.10696679436219783</c:v>
                </c:pt>
                <c:pt idx="1">
                  <c:v>0.14262239248293043</c:v>
                </c:pt>
                <c:pt idx="2">
                  <c:v>0.17827799060366306</c:v>
                </c:pt>
                <c:pt idx="3">
                  <c:v>0.21393358872439566</c:v>
                </c:pt>
              </c:numCache>
            </c:numRef>
          </c:val>
          <c:smooth val="0"/>
        </c:ser>
        <c:axId val="49007294"/>
        <c:axId val="38412463"/>
      </c:lineChart>
      <c:catAx>
        <c:axId val="4900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412463"/>
        <c:crosses val="autoZero"/>
        <c:auto val="1"/>
        <c:lblOffset val="100"/>
        <c:noMultiLvlLbl val="0"/>
      </c:catAx>
      <c:valAx>
        <c:axId val="3841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m3/s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0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 psi boost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turbo!$N$16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turbo!#REF!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turbo!$N$17:$N$20</c:f>
              <c:numCache>
                <c:ptCount val="4"/>
                <c:pt idx="0">
                  <c:v>0.11339109755489807</c:v>
                </c:pt>
                <c:pt idx="1">
                  <c:v>0.1511881300731974</c:v>
                </c:pt>
                <c:pt idx="2">
                  <c:v>0.18898516259149678</c:v>
                </c:pt>
                <c:pt idx="3">
                  <c:v>0.22678219510979614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turbo!$O$16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turbo!#REF!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turbo!$O$17:$O$20</c:f>
              <c:numCache>
                <c:ptCount val="4"/>
                <c:pt idx="0">
                  <c:v>0.12699802926148582</c:v>
                </c:pt>
                <c:pt idx="1">
                  <c:v>0.16933070568198108</c:v>
                </c:pt>
                <c:pt idx="2">
                  <c:v>0.21166338210247634</c:v>
                </c:pt>
                <c:pt idx="3">
                  <c:v>0.25399605852297163</c:v>
                </c:pt>
              </c:numCache>
            </c:numRef>
          </c:val>
          <c:smooth val="0"/>
        </c:ser>
        <c:axId val="10167848"/>
        <c:axId val="24401769"/>
      </c:lineChart>
      <c:catAx>
        <c:axId val="1016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1769"/>
        <c:crosses val="autoZero"/>
        <c:auto val="1"/>
        <c:lblOffset val="100"/>
        <c:noMultiLvlLbl val="0"/>
      </c:catAx>
      <c:valAx>
        <c:axId val="24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cm3/s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6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psi!$B$10</c:f>
              <c:strCache>
                <c:ptCount val="1"/>
                <c:pt idx="0">
                  <c:v>2.5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psi!$A$12:$A$15</c:f>
              <c:numCache/>
            </c:numRef>
          </c:cat>
          <c:val>
            <c:numRef>
              <c:f>psi!$B$12:$B$15</c:f>
              <c:numCache/>
            </c:numRef>
          </c:val>
          <c:smooth val="0"/>
        </c:ser>
        <c:ser>
          <c:idx val="1"/>
          <c:order val="1"/>
          <c:tx>
            <c:strRef>
              <c:f>psi!$C$10</c:f>
              <c:strCache>
                <c:ptCount val="1"/>
                <c:pt idx="0">
                  <c:v>2.8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psi!$A$12:$A$15</c:f>
              <c:numCache/>
            </c:numRef>
          </c:cat>
          <c:val>
            <c:numRef>
              <c:f>psi!$C$12:$C$15</c:f>
              <c:numCache/>
            </c:numRef>
          </c:val>
          <c:smooth val="0"/>
        </c:ser>
        <c:marker val="1"/>
        <c:axId val="18289330"/>
        <c:axId val="30386243"/>
      </c:line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6243"/>
        <c:crosses val="autoZero"/>
        <c:auto val="1"/>
        <c:lblOffset val="100"/>
        <c:noMultiLvlLbl val="0"/>
      </c:catAx>
      <c:valAx>
        <c:axId val="3038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7</xdr:col>
      <xdr:colOff>400050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27336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42</xdr:row>
      <xdr:rowOff>0</xdr:rowOff>
    </xdr:from>
    <xdr:to>
      <xdr:col>18</xdr:col>
      <xdr:colOff>457200</xdr:colOff>
      <xdr:row>68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877050"/>
          <a:ext cx="38004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6" sqref="A6"/>
    </sheetView>
  </sheetViews>
  <sheetFormatPr defaultColWidth="9.140625" defaultRowHeight="12.75"/>
  <sheetData>
    <row r="1" ht="12.75">
      <c r="C1" t="s">
        <v>19</v>
      </c>
    </row>
    <row r="2" spans="3:4" ht="13.5" thickBot="1">
      <c r="C2" t="s">
        <v>32</v>
      </c>
      <c r="D2" t="s">
        <v>20</v>
      </c>
    </row>
    <row r="3" spans="1:4" ht="12.75">
      <c r="A3" s="13" t="s">
        <v>3</v>
      </c>
      <c r="B3" s="13" t="s">
        <v>0</v>
      </c>
      <c r="C3" s="20" t="s">
        <v>9</v>
      </c>
      <c r="D3" s="20"/>
    </row>
    <row r="4" spans="1:4" ht="13.5" thickBot="1">
      <c r="A4" s="10">
        <v>17</v>
      </c>
      <c r="B4" s="8">
        <f>(Pressure+Boost_psi)/Pressure</f>
        <v>2.1564625850340136</v>
      </c>
      <c r="C4" s="7">
        <f>((POWER(Pressure_Ratio,0.28)*Ci_absolute)-Ci_absolute)/0.74</f>
        <v>168.05207528697633</v>
      </c>
      <c r="D4" s="7">
        <f>Temp_rise_best*(0.74/0.6)</f>
        <v>207.26422618727082</v>
      </c>
    </row>
    <row r="5" spans="1:4" ht="13.5" thickBot="1">
      <c r="A5" s="10"/>
      <c r="B5" s="8"/>
      <c r="C5" s="7"/>
      <c r="D5" s="7"/>
    </row>
    <row r="9" ht="13.5" thickBot="1"/>
    <row r="10" spans="1:9" ht="12.75">
      <c r="A10" s="13"/>
      <c r="B10" s="18">
        <v>2.5</v>
      </c>
      <c r="C10" s="18">
        <v>2.8</v>
      </c>
      <c r="D10" s="18">
        <v>3</v>
      </c>
      <c r="E10" s="18">
        <v>2.5</v>
      </c>
      <c r="F10" s="18">
        <v>2.8</v>
      </c>
      <c r="G10" s="18">
        <v>2.5</v>
      </c>
      <c r="H10" s="18">
        <v>2.8</v>
      </c>
      <c r="I10" s="19">
        <v>3</v>
      </c>
    </row>
    <row r="11" spans="1:9" ht="12.75">
      <c r="A11" s="6" t="s">
        <v>10</v>
      </c>
      <c r="B11" s="23" t="s">
        <v>8</v>
      </c>
      <c r="C11" s="23"/>
      <c r="D11" s="6"/>
      <c r="E11" s="24" t="s">
        <v>4</v>
      </c>
      <c r="F11" s="24"/>
      <c r="G11" s="24" t="s">
        <v>26</v>
      </c>
      <c r="H11" s="24"/>
      <c r="I11" s="4"/>
    </row>
    <row r="12" spans="1:9" ht="12.75">
      <c r="A12" s="6">
        <v>3000</v>
      </c>
      <c r="B12" s="7">
        <f>Pressure_Ratio*((151*0.5*revs*0.85)/1728)</f>
        <v>240.26212915721845</v>
      </c>
      <c r="C12" s="7">
        <f>Pressure_Ratio*((169*0.5*revs*0.85)/1728)</f>
        <v>268.9026478647014</v>
      </c>
      <c r="D12" s="7"/>
      <c r="E12" s="8">
        <f aca="true" t="shared" si="0" ref="E12:F15">B12/(cf_to_cm*60)</f>
        <v>0.11339109755489807</v>
      </c>
      <c r="F12" s="8">
        <f t="shared" si="0"/>
        <v>0.12690791713097863</v>
      </c>
      <c r="G12" s="8">
        <f aca="true" t="shared" si="1" ref="G12:H15">B12*0.0749</f>
        <v>17.99563347387566</v>
      </c>
      <c r="H12" s="8">
        <f t="shared" si="1"/>
        <v>20.140808325066136</v>
      </c>
      <c r="I12" s="8"/>
    </row>
    <row r="13" spans="1:9" ht="12.75">
      <c r="A13" s="6">
        <v>4000</v>
      </c>
      <c r="B13" s="7">
        <f aca="true" t="shared" si="2" ref="B13:C15">Pressure_Ratio*((151*0.5*revs*0.85)/1728)</f>
        <v>320.3495055429579</v>
      </c>
      <c r="C13" s="7">
        <f>Pressure_Ratio*((169*0.5*revs*0.85)/1728)</f>
        <v>358.53686381960193</v>
      </c>
      <c r="D13" s="7"/>
      <c r="E13" s="8">
        <f t="shared" si="0"/>
        <v>0.1511881300731974</v>
      </c>
      <c r="F13" s="8">
        <f t="shared" si="0"/>
        <v>0.16921055617463818</v>
      </c>
      <c r="G13" s="8">
        <f t="shared" si="1"/>
        <v>23.994177965167545</v>
      </c>
      <c r="H13" s="8">
        <f t="shared" si="1"/>
        <v>26.854411100088182</v>
      </c>
      <c r="I13" s="8"/>
    </row>
    <row r="14" spans="1:9" ht="12.75">
      <c r="A14" s="6">
        <v>5000</v>
      </c>
      <c r="B14" s="7">
        <f t="shared" si="2"/>
        <v>400.4368819286974</v>
      </c>
      <c r="C14" s="7">
        <f>Pressure_Ratio*((169*0.5*revs*0.85)/1728)</f>
        <v>448.17107977450235</v>
      </c>
      <c r="D14" s="7"/>
      <c r="E14" s="8">
        <f t="shared" si="0"/>
        <v>0.18898516259149678</v>
      </c>
      <c r="F14" s="8">
        <f t="shared" si="0"/>
        <v>0.2115131952182977</v>
      </c>
      <c r="G14" s="8">
        <f t="shared" si="1"/>
        <v>29.992722456459433</v>
      </c>
      <c r="H14" s="8">
        <f t="shared" si="1"/>
        <v>33.568013875110225</v>
      </c>
      <c r="I14" s="8"/>
    </row>
    <row r="15" spans="1:9" ht="12.75">
      <c r="A15" s="6">
        <v>6000</v>
      </c>
      <c r="B15" s="7">
        <f t="shared" si="2"/>
        <v>480.5242583144369</v>
      </c>
      <c r="C15" s="7">
        <f>Pressure_Ratio*((169*0.5*revs*0.85)/1728)</f>
        <v>537.8052957294028</v>
      </c>
      <c r="D15" s="7"/>
      <c r="E15" s="8">
        <f t="shared" si="0"/>
        <v>0.22678219510979614</v>
      </c>
      <c r="F15" s="8">
        <f t="shared" si="0"/>
        <v>0.25381583426195725</v>
      </c>
      <c r="G15" s="8">
        <f t="shared" si="1"/>
        <v>35.99126694775132</v>
      </c>
      <c r="H15" s="8">
        <f t="shared" si="1"/>
        <v>40.28161665013227</v>
      </c>
      <c r="I15" s="8"/>
    </row>
  </sheetData>
  <mergeCells count="4">
    <mergeCell ref="C3:D3"/>
    <mergeCell ref="B11:C11"/>
    <mergeCell ref="E11:F11"/>
    <mergeCell ref="G11:H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F31" sqref="F3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3" width="4.8515625" style="0" customWidth="1"/>
    <col min="4" max="4" width="4.00390625" style="0" customWidth="1"/>
    <col min="5" max="5" width="5.7109375" style="0" customWidth="1"/>
    <col min="6" max="6" width="5.00390625" style="0" customWidth="1"/>
    <col min="7" max="7" width="4.57421875" style="0" customWidth="1"/>
    <col min="8" max="8" width="4.00390625" style="0" customWidth="1"/>
    <col min="9" max="9" width="4.28125" style="0" customWidth="1"/>
    <col min="10" max="10" width="5.00390625" style="0" customWidth="1"/>
    <col min="11" max="11" width="10.57421875" style="0" bestFit="1" customWidth="1"/>
    <col min="12" max="13" width="4.00390625" style="0" customWidth="1"/>
    <col min="14" max="15" width="4.57421875" style="0" customWidth="1"/>
    <col min="16" max="17" width="5.57421875" style="0" customWidth="1"/>
    <col min="18" max="18" width="6.28125" style="0" customWidth="1"/>
    <col min="20" max="20" width="10.28125" style="0" customWidth="1"/>
    <col min="21" max="21" width="6.140625" style="0" customWidth="1"/>
  </cols>
  <sheetData>
    <row r="1" ht="12.75">
      <c r="S1" t="s">
        <v>6</v>
      </c>
    </row>
    <row r="2" spans="3:19" ht="12.75">
      <c r="C2" s="16"/>
      <c r="D2" s="16" t="s">
        <v>31</v>
      </c>
      <c r="E2" s="16"/>
      <c r="F2" s="16"/>
      <c r="S2">
        <f>POWER(3.280839895,3)</f>
        <v>35.314666721064825</v>
      </c>
    </row>
    <row r="3" spans="3:21" ht="12.75">
      <c r="C3" s="16" t="s">
        <v>17</v>
      </c>
      <c r="D3" s="16"/>
      <c r="E3" s="16" t="s">
        <v>28</v>
      </c>
      <c r="F3" s="16"/>
      <c r="S3" s="15" t="s">
        <v>25</v>
      </c>
      <c r="U3" t="s">
        <v>27</v>
      </c>
    </row>
    <row r="4" spans="3:22" ht="12.75">
      <c r="C4" s="16" t="s">
        <v>18</v>
      </c>
      <c r="D4" s="16"/>
      <c r="E4" s="16" t="s">
        <v>29</v>
      </c>
      <c r="F4" s="16"/>
      <c r="G4" t="s">
        <v>19</v>
      </c>
      <c r="J4" t="s">
        <v>16</v>
      </c>
      <c r="S4" t="s">
        <v>5</v>
      </c>
      <c r="T4" t="s">
        <v>1</v>
      </c>
      <c r="U4" t="s">
        <v>35</v>
      </c>
      <c r="V4" t="s">
        <v>36</v>
      </c>
    </row>
    <row r="5" spans="7:22" ht="13.5" thickBot="1">
      <c r="G5" t="s">
        <v>32</v>
      </c>
      <c r="H5" t="s">
        <v>20</v>
      </c>
      <c r="S5">
        <v>2.5</v>
      </c>
      <c r="T5">
        <v>151</v>
      </c>
      <c r="U5">
        <f>0.052*T5*(15+14.7)</f>
        <v>233.20439999999996</v>
      </c>
      <c r="V5">
        <f>0.077*T5*(15+14.7)</f>
        <v>345.3219</v>
      </c>
    </row>
    <row r="6" spans="1:22" ht="12.75">
      <c r="A6" s="13" t="s">
        <v>3</v>
      </c>
      <c r="B6" s="13" t="s">
        <v>0</v>
      </c>
      <c r="G6" s="20" t="s">
        <v>9</v>
      </c>
      <c r="H6" s="20"/>
      <c r="J6" s="13"/>
      <c r="K6" s="18">
        <v>2.5</v>
      </c>
      <c r="L6" s="18">
        <v>2.8</v>
      </c>
      <c r="M6" s="18">
        <v>3</v>
      </c>
      <c r="N6" s="18">
        <v>2.5</v>
      </c>
      <c r="O6" s="18">
        <v>2.8</v>
      </c>
      <c r="P6" s="18">
        <v>2.5</v>
      </c>
      <c r="Q6" s="18">
        <v>2.8</v>
      </c>
      <c r="R6" s="19">
        <v>3</v>
      </c>
      <c r="S6">
        <v>2.8</v>
      </c>
      <c r="T6">
        <f>T5*(S6/S5)</f>
        <v>169.11999999999998</v>
      </c>
      <c r="U6">
        <f>0.052*T6*(15+14.7)</f>
        <v>261.188928</v>
      </c>
      <c r="V6">
        <f>0.077*T6*(15+14.7)</f>
        <v>386.76052799999997</v>
      </c>
    </row>
    <row r="7" spans="1:22" ht="13.5" thickBot="1">
      <c r="A7" s="10">
        <v>10</v>
      </c>
      <c r="B7" s="8">
        <f>(Pressure+A7)/Pressure</f>
        <v>1.6802721088435375</v>
      </c>
      <c r="E7" s="2"/>
      <c r="G7" s="7">
        <f>((POWER(B7,0.28)*Ci_absolute)-Ci_absolute)/0.74</f>
        <v>109.4766639760635</v>
      </c>
      <c r="H7" s="7">
        <f aca="true" t="shared" si="0" ref="H7:H14">G7*(0.74/0.6)</f>
        <v>135.02121890381167</v>
      </c>
      <c r="J7" s="6" t="s">
        <v>10</v>
      </c>
      <c r="K7" s="21" t="s">
        <v>8</v>
      </c>
      <c r="L7" s="21"/>
      <c r="M7" s="6"/>
      <c r="N7" s="21" t="s">
        <v>4</v>
      </c>
      <c r="O7" s="21"/>
      <c r="P7" s="21" t="s">
        <v>26</v>
      </c>
      <c r="Q7" s="21"/>
      <c r="R7" s="4"/>
      <c r="S7">
        <v>3</v>
      </c>
      <c r="T7">
        <f>T5*(S7/S5)</f>
        <v>181.2</v>
      </c>
      <c r="U7">
        <f>0.052*T7*(15+14.7)</f>
        <v>279.84528</v>
      </c>
      <c r="V7">
        <f>0.077*T7*(15+14.7)</f>
        <v>414.38627999999994</v>
      </c>
    </row>
    <row r="8" spans="1:21" ht="12.75">
      <c r="A8" s="6">
        <v>12</v>
      </c>
      <c r="B8" s="8">
        <f>(Pressure+Boost)/Pressure</f>
        <v>1.816326530612245</v>
      </c>
      <c r="C8" s="3"/>
      <c r="E8" s="2"/>
      <c r="G8" s="7">
        <f aca="true" t="shared" si="1" ref="G8:G14">((POWER(B8,0.28)*Ci_absolute)-Ci_absolute)/0.74</f>
        <v>127.31774486634153</v>
      </c>
      <c r="H8" s="7">
        <f t="shared" si="0"/>
        <v>157.0252186684879</v>
      </c>
      <c r="J8" s="6"/>
      <c r="K8" s="6" t="s">
        <v>13</v>
      </c>
      <c r="L8" s="6"/>
      <c r="M8" s="6"/>
      <c r="N8" s="6"/>
      <c r="O8" s="6"/>
      <c r="P8" s="6"/>
      <c r="Q8" s="6"/>
      <c r="S8" s="22" t="s">
        <v>12</v>
      </c>
      <c r="T8" s="22"/>
      <c r="U8">
        <v>14.7</v>
      </c>
    </row>
    <row r="9" spans="1:17" ht="12.75">
      <c r="A9" s="6">
        <v>13</v>
      </c>
      <c r="B9" s="8">
        <f aca="true" t="shared" si="2" ref="B9:B14">(Pressure+Boost)/Pressure</f>
        <v>1.8843537414965987</v>
      </c>
      <c r="C9" s="3"/>
      <c r="E9" s="2"/>
      <c r="G9" s="7">
        <f t="shared" si="1"/>
        <v>135.87920622023876</v>
      </c>
      <c r="H9" s="7">
        <f t="shared" si="0"/>
        <v>167.58435433829447</v>
      </c>
      <c r="J9" s="6"/>
      <c r="K9" s="6"/>
      <c r="L9" s="6"/>
      <c r="M9" s="6"/>
      <c r="N9" s="6"/>
      <c r="O9" s="6"/>
      <c r="P9" s="6"/>
      <c r="Q9" s="6"/>
    </row>
    <row r="10" spans="1:23" ht="12.75">
      <c r="A10" s="6">
        <v>14</v>
      </c>
      <c r="B10" s="8">
        <f t="shared" si="2"/>
        <v>1.9523809523809523</v>
      </c>
      <c r="C10" s="3">
        <f>((POWER(Pratio,0.28)*Ci_absolute)-Ci_absolute)/(Co-Ci)</f>
        <v>0.5529714589748771</v>
      </c>
      <c r="E10" s="3">
        <f>(Co-V15)/(Co-ambient)</f>
        <v>0.7357512953367875</v>
      </c>
      <c r="G10" s="7">
        <f t="shared" si="1"/>
        <v>144.2209345704747</v>
      </c>
      <c r="H10" s="7">
        <f t="shared" si="0"/>
        <v>177.87248597025214</v>
      </c>
      <c r="J10" s="6">
        <v>3000</v>
      </c>
      <c r="K10" s="7">
        <f>B8*B22</f>
        <v>202.36589427437642</v>
      </c>
      <c r="L10" s="7">
        <f>B8*C22</f>
        <v>226.64980158730154</v>
      </c>
      <c r="M10" s="7"/>
      <c r="N10" s="8">
        <f aca="true" t="shared" si="3" ref="N10:O13">K10/(cf_to_cm*60)</f>
        <v>0.09550606639481951</v>
      </c>
      <c r="O10" s="8">
        <f t="shared" si="3"/>
        <v>0.10696679436219783</v>
      </c>
      <c r="P10" s="8">
        <f aca="true" t="shared" si="4" ref="P10:Q13">K10*0.0749</f>
        <v>15.157205481150793</v>
      </c>
      <c r="Q10" s="8">
        <f t="shared" si="4"/>
        <v>16.976070138888883</v>
      </c>
      <c r="R10" s="8"/>
      <c r="S10" t="s">
        <v>7</v>
      </c>
      <c r="V10" s="5" t="s">
        <v>9</v>
      </c>
      <c r="W10" t="s">
        <v>2</v>
      </c>
    </row>
    <row r="11" spans="1:22" ht="12.75">
      <c r="A11" s="6">
        <v>15</v>
      </c>
      <c r="B11" s="8">
        <f t="shared" si="2"/>
        <v>2.0204081632653064</v>
      </c>
      <c r="C11" s="3"/>
      <c r="E11" s="2"/>
      <c r="G11" s="7">
        <f t="shared" si="1"/>
        <v>152.35594005908257</v>
      </c>
      <c r="H11" s="7">
        <f>G11*(0.74/0.6)</f>
        <v>187.90565940620183</v>
      </c>
      <c r="J11" s="6">
        <v>4000</v>
      </c>
      <c r="K11" s="7">
        <f>B8*B23</f>
        <v>269.8211923658352</v>
      </c>
      <c r="L11" s="7">
        <f>B8*C23</f>
        <v>302.1997354497354</v>
      </c>
      <c r="M11" s="7"/>
      <c r="N11" s="8">
        <f t="shared" si="3"/>
        <v>0.12734142185975933</v>
      </c>
      <c r="O11" s="8">
        <f t="shared" si="3"/>
        <v>0.14262239248293043</v>
      </c>
      <c r="P11" s="8">
        <f t="shared" si="4"/>
        <v>20.209607308201054</v>
      </c>
      <c r="Q11" s="8">
        <f t="shared" si="4"/>
        <v>22.63476018518518</v>
      </c>
      <c r="R11" s="8"/>
      <c r="S11" t="s">
        <v>24</v>
      </c>
      <c r="V11" s="14">
        <v>58</v>
      </c>
    </row>
    <row r="12" spans="1:23" ht="12.75">
      <c r="A12" s="6">
        <v>16</v>
      </c>
      <c r="B12" s="8">
        <f t="shared" si="2"/>
        <v>2.0884353741496597</v>
      </c>
      <c r="C12" s="3"/>
      <c r="E12" s="2"/>
      <c r="G12" s="7">
        <f t="shared" si="1"/>
        <v>160.296055053903</v>
      </c>
      <c r="H12" s="7">
        <f t="shared" si="0"/>
        <v>197.6984678998137</v>
      </c>
      <c r="J12" s="6">
        <v>5000</v>
      </c>
      <c r="K12" s="7">
        <f>B8*B24</f>
        <v>337.276490457294</v>
      </c>
      <c r="L12" s="7">
        <f>B8*C24</f>
        <v>377.74966931216926</v>
      </c>
      <c r="M12" s="7"/>
      <c r="N12" s="8">
        <f t="shared" si="3"/>
        <v>0.15917677732469918</v>
      </c>
      <c r="O12" s="8">
        <f t="shared" si="3"/>
        <v>0.17827799060366306</v>
      </c>
      <c r="P12" s="8">
        <f t="shared" si="4"/>
        <v>25.26200913525132</v>
      </c>
      <c r="Q12" s="8">
        <f t="shared" si="4"/>
        <v>28.293450231481476</v>
      </c>
      <c r="R12" s="8"/>
      <c r="S12" t="s">
        <v>21</v>
      </c>
      <c r="V12">
        <v>58</v>
      </c>
      <c r="W12">
        <f>Ci+460</f>
        <v>518</v>
      </c>
    </row>
    <row r="13" spans="1:22" ht="12.75">
      <c r="A13" s="6">
        <v>17</v>
      </c>
      <c r="B13" s="8">
        <f t="shared" si="2"/>
        <v>2.1564625850340136</v>
      </c>
      <c r="C13" s="3"/>
      <c r="E13" s="2"/>
      <c r="G13" s="7">
        <f t="shared" si="1"/>
        <v>168.05207528697633</v>
      </c>
      <c r="H13" s="7">
        <f t="shared" si="0"/>
        <v>207.26422618727082</v>
      </c>
      <c r="J13" s="6">
        <v>6000</v>
      </c>
      <c r="K13" s="7">
        <f>B8*B25</f>
        <v>404.73178854875283</v>
      </c>
      <c r="L13" s="7">
        <f>B8*C25</f>
        <v>453.2996031746031</v>
      </c>
      <c r="M13" s="7"/>
      <c r="N13" s="8">
        <f t="shared" si="3"/>
        <v>0.19101213278963902</v>
      </c>
      <c r="O13" s="8">
        <f t="shared" si="3"/>
        <v>0.21393358872439566</v>
      </c>
      <c r="P13" s="8">
        <f t="shared" si="4"/>
        <v>30.314410962301586</v>
      </c>
      <c r="Q13" s="8">
        <f t="shared" si="4"/>
        <v>33.952140277777765</v>
      </c>
      <c r="R13" s="8"/>
      <c r="S13" t="s">
        <v>11</v>
      </c>
      <c r="V13">
        <v>251</v>
      </c>
    </row>
    <row r="14" spans="1:22" ht="12.75">
      <c r="A14" s="6">
        <v>18</v>
      </c>
      <c r="B14" s="8">
        <f t="shared" si="2"/>
        <v>2.224489795918368</v>
      </c>
      <c r="C14" s="3"/>
      <c r="E14" s="2"/>
      <c r="G14" s="7">
        <f t="shared" si="1"/>
        <v>175.63388020062337</v>
      </c>
      <c r="H14" s="7">
        <f t="shared" si="0"/>
        <v>216.61511891410217</v>
      </c>
      <c r="J14" s="6"/>
      <c r="K14" s="6"/>
      <c r="L14" s="6"/>
      <c r="M14" s="6"/>
      <c r="N14" s="6"/>
      <c r="O14" s="6"/>
      <c r="P14" s="6"/>
      <c r="Q14" s="6"/>
      <c r="S14" t="s">
        <v>22</v>
      </c>
      <c r="V14">
        <f>Co-Ci</f>
        <v>193</v>
      </c>
    </row>
    <row r="15" spans="1:22" ht="13.5" thickBot="1">
      <c r="A15" s="10">
        <v>20</v>
      </c>
      <c r="B15" s="12">
        <f>(Pressure+Boost)/Pressure</f>
        <v>2.360544217687075</v>
      </c>
      <c r="C15" s="3"/>
      <c r="G15" s="11">
        <f>((POWER(B15,0.28)*Ci_absolute)-Ci_absolute)/0.74</f>
        <v>190.31038501019322</v>
      </c>
      <c r="H15" s="11">
        <f>G15*(0.74/0.6)</f>
        <v>234.71614151257165</v>
      </c>
      <c r="J15" s="6"/>
      <c r="K15" s="6" t="s">
        <v>14</v>
      </c>
      <c r="L15" s="6"/>
      <c r="M15" s="6"/>
      <c r="N15" s="6"/>
      <c r="O15" s="6"/>
      <c r="P15" s="6"/>
      <c r="Q15" s="6"/>
      <c r="S15" t="s">
        <v>23</v>
      </c>
      <c r="V15">
        <v>109</v>
      </c>
    </row>
    <row r="16" spans="1:17" ht="13.5" thickBot="1">
      <c r="A16" s="6"/>
      <c r="B16" s="12"/>
      <c r="C16" s="3"/>
      <c r="J16" s="6"/>
      <c r="K16" s="6"/>
      <c r="L16" s="6"/>
      <c r="M16" s="6"/>
      <c r="N16" s="6"/>
      <c r="O16" s="9"/>
      <c r="P16" s="9"/>
      <c r="Q16" s="6"/>
    </row>
    <row r="17" spans="2:18" ht="12.75">
      <c r="B17" s="1"/>
      <c r="C17" s="3"/>
      <c r="J17" s="6">
        <v>3000</v>
      </c>
      <c r="K17" s="7">
        <f>B13*B22</f>
        <v>240.26212915721845</v>
      </c>
      <c r="L17" s="7">
        <f>B13*C22</f>
        <v>269.0935846560846</v>
      </c>
      <c r="M17" s="7"/>
      <c r="N17" s="8">
        <f aca="true" t="shared" si="5" ref="N17:O20">K17/(cf_to_cm*60)</f>
        <v>0.11339109755489807</v>
      </c>
      <c r="O17" s="8">
        <f t="shared" si="5"/>
        <v>0.12699802926148582</v>
      </c>
      <c r="P17" s="8">
        <f aca="true" t="shared" si="6" ref="P17:Q20">K17*0.0749</f>
        <v>17.99563347387566</v>
      </c>
      <c r="Q17" s="8">
        <f t="shared" si="6"/>
        <v>20.155109490740735</v>
      </c>
      <c r="R17" s="8"/>
    </row>
    <row r="18" spans="2:19" ht="13.5" thickBot="1">
      <c r="B18" s="1"/>
      <c r="J18" s="6">
        <v>4000</v>
      </c>
      <c r="K18" s="7">
        <f>B13*B23</f>
        <v>320.3495055429579</v>
      </c>
      <c r="L18" s="7">
        <f>B13*C23</f>
        <v>358.7914462081128</v>
      </c>
      <c r="M18" s="7"/>
      <c r="N18" s="8">
        <f t="shared" si="5"/>
        <v>0.1511881300731974</v>
      </c>
      <c r="O18" s="8">
        <f t="shared" si="5"/>
        <v>0.16933070568198108</v>
      </c>
      <c r="P18" s="8">
        <f t="shared" si="6"/>
        <v>23.994177965167545</v>
      </c>
      <c r="Q18" s="8">
        <f t="shared" si="6"/>
        <v>26.87347932098765</v>
      </c>
      <c r="R18" s="8"/>
      <c r="S18">
        <f>14.7*1.4</f>
        <v>20.58</v>
      </c>
    </row>
    <row r="19" spans="1:18" ht="12.75">
      <c r="A19" s="13"/>
      <c r="B19" s="13" t="s">
        <v>30</v>
      </c>
      <c r="C19" s="13"/>
      <c r="D19" s="13"/>
      <c r="J19" s="6">
        <v>5000</v>
      </c>
      <c r="K19" s="7">
        <f>B13*B24</f>
        <v>400.4368819286974</v>
      </c>
      <c r="L19" s="7">
        <f>B13*C24</f>
        <v>448.489307760141</v>
      </c>
      <c r="M19" s="7"/>
      <c r="N19" s="8">
        <f t="shared" si="5"/>
        <v>0.18898516259149678</v>
      </c>
      <c r="O19" s="8">
        <f t="shared" si="5"/>
        <v>0.21166338210247634</v>
      </c>
      <c r="P19" s="8">
        <f t="shared" si="6"/>
        <v>29.992722456459433</v>
      </c>
      <c r="Q19" s="8">
        <f t="shared" si="6"/>
        <v>33.591849151234555</v>
      </c>
      <c r="R19" s="8"/>
    </row>
    <row r="20" spans="1:18" ht="12.75">
      <c r="A20" s="6"/>
      <c r="B20" s="6"/>
      <c r="C20" s="6"/>
      <c r="D20" s="6"/>
      <c r="J20" s="6">
        <v>6000</v>
      </c>
      <c r="K20" s="7">
        <f>B13*B25</f>
        <v>480.5242583144369</v>
      </c>
      <c r="L20" s="7">
        <f>B13*C25</f>
        <v>538.1871693121692</v>
      </c>
      <c r="M20" s="7"/>
      <c r="N20" s="8">
        <f t="shared" si="5"/>
        <v>0.22678219510979614</v>
      </c>
      <c r="O20" s="8">
        <f t="shared" si="5"/>
        <v>0.25399605852297163</v>
      </c>
      <c r="P20" s="8">
        <f t="shared" si="6"/>
        <v>35.99126694775132</v>
      </c>
      <c r="Q20" s="8">
        <f t="shared" si="6"/>
        <v>40.31021898148147</v>
      </c>
      <c r="R20" s="8"/>
    </row>
    <row r="21" spans="1:18" ht="12.75">
      <c r="A21" s="6" t="s">
        <v>10</v>
      </c>
      <c r="B21" s="17">
        <v>2.5</v>
      </c>
      <c r="C21" s="17">
        <v>2.8</v>
      </c>
      <c r="D21" s="17">
        <v>3</v>
      </c>
      <c r="J21" s="6">
        <v>7500</v>
      </c>
      <c r="K21" s="6"/>
      <c r="L21" s="6"/>
      <c r="M21">
        <f>D27*B13</f>
        <v>720.7863874716553</v>
      </c>
      <c r="N21" s="6"/>
      <c r="O21" s="6"/>
      <c r="P21" s="6"/>
      <c r="Q21" s="6"/>
      <c r="R21">
        <f>M21*0.0749</f>
        <v>53.98690042162698</v>
      </c>
    </row>
    <row r="22" spans="1:17" ht="12.75">
      <c r="A22" s="6">
        <v>3000</v>
      </c>
      <c r="B22" s="7">
        <f>(T5*0.5*rpm*0.85)/1728</f>
        <v>111.41493055555556</v>
      </c>
      <c r="C22" s="7">
        <f>(T6*0.5*A22*0.85)/1728</f>
        <v>124.7847222222222</v>
      </c>
      <c r="D22" s="6"/>
      <c r="J22" s="6"/>
      <c r="K22" s="6" t="s">
        <v>15</v>
      </c>
      <c r="L22" s="6"/>
      <c r="M22" s="6"/>
      <c r="N22" s="6"/>
      <c r="O22" s="6"/>
      <c r="P22" s="6"/>
      <c r="Q22" s="6"/>
    </row>
    <row r="23" spans="1:17" ht="12.75">
      <c r="A23" s="6">
        <v>4000</v>
      </c>
      <c r="B23" s="7">
        <f>(T5*0.5*A23*0.85)/1728</f>
        <v>148.55324074074073</v>
      </c>
      <c r="C23" s="7">
        <f>(T6*0.5*A23*0.85)/1728</f>
        <v>166.3796296296296</v>
      </c>
      <c r="D23" s="6"/>
      <c r="J23" s="6"/>
      <c r="K23" s="6"/>
      <c r="L23" s="6"/>
      <c r="M23" s="6"/>
      <c r="N23" s="6"/>
      <c r="O23" s="6"/>
      <c r="P23" s="6"/>
      <c r="Q23" s="6"/>
    </row>
    <row r="24" spans="1:18" ht="12.75">
      <c r="A24" s="6">
        <v>5000</v>
      </c>
      <c r="B24" s="7">
        <f>(T5*0.5*A24*0.85)/1728</f>
        <v>185.69155092592592</v>
      </c>
      <c r="C24" s="7">
        <f>(T6*0.5*A24*0.85)/1728</f>
        <v>207.974537037037</v>
      </c>
      <c r="D24" s="6"/>
      <c r="E24" s="8">
        <f>B25/(cf_to_cm)</f>
        <v>6.309838993275716</v>
      </c>
      <c r="J24" s="6">
        <v>3000</v>
      </c>
      <c r="K24" s="7">
        <f>B11*B22</f>
        <v>225.10363520408166</v>
      </c>
      <c r="L24" s="7">
        <f>B11*C22</f>
        <v>252.11607142857142</v>
      </c>
      <c r="M24" s="7"/>
      <c r="N24" s="8">
        <f aca="true" t="shared" si="7" ref="N24:O27">K24/(cf_to_cm*60)</f>
        <v>0.10623708509086666</v>
      </c>
      <c r="O24" s="8">
        <f t="shared" si="7"/>
        <v>0.11898553530177064</v>
      </c>
      <c r="P24" s="8">
        <f aca="true" t="shared" si="8" ref="P24:Q27">K24*0.0749</f>
        <v>16.860262276785715</v>
      </c>
      <c r="Q24" s="8">
        <f t="shared" si="8"/>
        <v>18.883493749999996</v>
      </c>
      <c r="R24" s="8"/>
    </row>
    <row r="25" spans="1:18" ht="12.75">
      <c r="A25" s="6">
        <v>6000</v>
      </c>
      <c r="B25" s="7">
        <f>(T5*0.5*A25*0.85)/1728</f>
        <v>222.82986111111111</v>
      </c>
      <c r="C25" s="7">
        <f>(T6*0.5*A25*0.85)/1728</f>
        <v>249.5694444444444</v>
      </c>
      <c r="D25" s="6"/>
      <c r="J25" s="6">
        <v>4000</v>
      </c>
      <c r="K25" s="7">
        <f>B11*B23</f>
        <v>300.13818027210885</v>
      </c>
      <c r="L25" s="7">
        <f>B11*C23</f>
        <v>336.15476190476187</v>
      </c>
      <c r="M25" s="7"/>
      <c r="N25" s="8">
        <f t="shared" si="7"/>
        <v>0.14164944678782218</v>
      </c>
      <c r="O25" s="8">
        <f t="shared" si="7"/>
        <v>0.15864738040236084</v>
      </c>
      <c r="P25" s="8">
        <f t="shared" si="8"/>
        <v>22.480349702380952</v>
      </c>
      <c r="Q25" s="8">
        <f t="shared" si="8"/>
        <v>25.177991666666664</v>
      </c>
      <c r="R25" s="8"/>
    </row>
    <row r="26" spans="1:18" ht="12.75">
      <c r="A26" s="6"/>
      <c r="B26" s="6"/>
      <c r="C26" s="6"/>
      <c r="D26" s="6"/>
      <c r="J26" s="6">
        <v>5000</v>
      </c>
      <c r="K26" s="7">
        <f>B11*B24</f>
        <v>375.1727253401361</v>
      </c>
      <c r="L26" s="7">
        <f>B11*C24</f>
        <v>420.19345238095235</v>
      </c>
      <c r="M26" s="7"/>
      <c r="N26" s="8">
        <f t="shared" si="7"/>
        <v>0.17706180848477776</v>
      </c>
      <c r="O26" s="8">
        <f t="shared" si="7"/>
        <v>0.19830922550295105</v>
      </c>
      <c r="P26" s="8">
        <f t="shared" si="8"/>
        <v>28.10043712797619</v>
      </c>
      <c r="Q26" s="8">
        <f t="shared" si="8"/>
        <v>31.472489583333328</v>
      </c>
      <c r="R26" s="8"/>
    </row>
    <row r="27" spans="1:18" ht="13.5" thickBot="1">
      <c r="A27" s="10">
        <v>7500</v>
      </c>
      <c r="B27" s="10"/>
      <c r="C27" s="10"/>
      <c r="D27" s="11">
        <f>(T7*0.5*A27*0.85)/1728</f>
        <v>334.2447916666667</v>
      </c>
      <c r="J27" s="10">
        <v>6000</v>
      </c>
      <c r="K27" s="11">
        <f>B11*B25</f>
        <v>450.2072704081633</v>
      </c>
      <c r="L27" s="11">
        <f>B11*C25</f>
        <v>504.23214285714283</v>
      </c>
      <c r="M27" s="11"/>
      <c r="N27" s="12">
        <f t="shared" si="7"/>
        <v>0.2124741701817333</v>
      </c>
      <c r="O27" s="12">
        <f t="shared" si="7"/>
        <v>0.23797107060354128</v>
      </c>
      <c r="P27" s="12">
        <f t="shared" si="8"/>
        <v>33.72052455357143</v>
      </c>
      <c r="Q27" s="12">
        <f t="shared" si="8"/>
        <v>37.76698749999999</v>
      </c>
      <c r="R27" s="8"/>
    </row>
    <row r="29" ht="12.75">
      <c r="K29" t="s">
        <v>33</v>
      </c>
    </row>
    <row r="31" spans="10:17" ht="12.75">
      <c r="J31" s="6">
        <v>3000</v>
      </c>
      <c r="K31" s="7">
        <f>B15*B22</f>
        <v>262.9998700869237</v>
      </c>
      <c r="L31" s="7">
        <f>B15*C22</f>
        <v>294.5598544973545</v>
      </c>
      <c r="M31" s="7"/>
      <c r="N31" s="8">
        <f aca="true" t="shared" si="9" ref="N31:O34">K31/(cf_to_cm*60)</f>
        <v>0.12412211625094521</v>
      </c>
      <c r="O31" s="8">
        <f t="shared" si="9"/>
        <v>0.13901677020105863</v>
      </c>
      <c r="P31" s="8">
        <f aca="true" t="shared" si="10" ref="P31:Q34">K31*0.0749</f>
        <v>19.698690269510582</v>
      </c>
      <c r="Q31" s="8">
        <f t="shared" si="10"/>
        <v>22.062533101851848</v>
      </c>
    </row>
    <row r="32" spans="10:17" ht="12.75">
      <c r="J32" s="6">
        <v>4000</v>
      </c>
      <c r="K32" s="7">
        <f>B15*B23</f>
        <v>350.66649344923155</v>
      </c>
      <c r="L32" s="7">
        <f>B15*C23</f>
        <v>392.7464726631393</v>
      </c>
      <c r="M32" s="7"/>
      <c r="N32" s="8">
        <f t="shared" si="9"/>
        <v>0.16549615500126028</v>
      </c>
      <c r="O32" s="8">
        <f t="shared" si="9"/>
        <v>0.1853556936014115</v>
      </c>
      <c r="P32" s="8">
        <f t="shared" si="10"/>
        <v>26.264920359347443</v>
      </c>
      <c r="Q32" s="8">
        <f t="shared" si="10"/>
        <v>29.41671080246913</v>
      </c>
    </row>
    <row r="33" spans="10:17" ht="12.75">
      <c r="J33" s="6">
        <v>5000</v>
      </c>
      <c r="K33" s="7">
        <f>B15*B24</f>
        <v>438.33311681153947</v>
      </c>
      <c r="L33" s="7">
        <f>B15*C24</f>
        <v>490.93309082892415</v>
      </c>
      <c r="M33" s="7"/>
      <c r="N33" s="8">
        <f t="shared" si="9"/>
        <v>0.20687019375157537</v>
      </c>
      <c r="O33" s="8">
        <f t="shared" si="9"/>
        <v>0.23169461700176436</v>
      </c>
      <c r="P33" s="8">
        <f t="shared" si="10"/>
        <v>32.83115044918431</v>
      </c>
      <c r="Q33" s="8">
        <f t="shared" si="10"/>
        <v>36.77088850308642</v>
      </c>
    </row>
    <row r="34" spans="10:17" ht="13.5" thickBot="1">
      <c r="J34" s="10">
        <v>6000</v>
      </c>
      <c r="K34" s="7">
        <f>B15*B25</f>
        <v>525.9997401738474</v>
      </c>
      <c r="L34" s="11">
        <f>B15*C25</f>
        <v>589.119708994709</v>
      </c>
      <c r="M34" s="11"/>
      <c r="N34" s="12">
        <f t="shared" si="9"/>
        <v>0.24824423250189043</v>
      </c>
      <c r="O34" s="12">
        <f t="shared" si="9"/>
        <v>0.27803354040211725</v>
      </c>
      <c r="P34" s="12">
        <f t="shared" si="10"/>
        <v>39.397380539021164</v>
      </c>
      <c r="Q34" s="12">
        <f t="shared" si="10"/>
        <v>44.125066203703696</v>
      </c>
    </row>
    <row r="36" ht="12.75">
      <c r="K36" t="s">
        <v>34</v>
      </c>
    </row>
    <row r="38" spans="10:17" ht="12.75">
      <c r="J38" s="6">
        <v>3000</v>
      </c>
      <c r="K38" s="7">
        <f>B7*B22</f>
        <v>187.20740032123962</v>
      </c>
      <c r="L38" s="7">
        <f>B22*C29</f>
        <v>0</v>
      </c>
      <c r="M38" s="7"/>
      <c r="N38" s="8">
        <f aca="true" t="shared" si="11" ref="N38:O41">K38/(cf_to_cm*60)</f>
        <v>0.08835205393078809</v>
      </c>
      <c r="O38" s="8">
        <f t="shared" si="11"/>
        <v>0</v>
      </c>
      <c r="P38" s="8">
        <f aca="true" t="shared" si="12" ref="P38:Q41">K38*0.0749</f>
        <v>14.021834284060846</v>
      </c>
      <c r="Q38" s="8">
        <f t="shared" si="12"/>
        <v>0</v>
      </c>
    </row>
    <row r="39" spans="10:17" ht="12.75">
      <c r="J39" s="6">
        <v>4000</v>
      </c>
      <c r="K39" s="7">
        <f>B7*B23</f>
        <v>249.60986709498616</v>
      </c>
      <c r="L39" s="7">
        <f>B22*C30</f>
        <v>0</v>
      </c>
      <c r="M39" s="7"/>
      <c r="N39" s="8">
        <f t="shared" si="11"/>
        <v>0.11780273857438411</v>
      </c>
      <c r="O39" s="8">
        <f t="shared" si="11"/>
        <v>0</v>
      </c>
      <c r="P39" s="8">
        <f t="shared" si="12"/>
        <v>18.69577904541446</v>
      </c>
      <c r="Q39" s="8">
        <f t="shared" si="12"/>
        <v>0</v>
      </c>
    </row>
    <row r="40" spans="10:17" ht="12.75">
      <c r="J40" s="6">
        <v>5000</v>
      </c>
      <c r="K40" s="7">
        <f>B7*B24</f>
        <v>312.0123338687327</v>
      </c>
      <c r="L40" s="7">
        <f>B22*C31</f>
        <v>0</v>
      </c>
      <c r="M40" s="7"/>
      <c r="N40" s="8">
        <f t="shared" si="11"/>
        <v>0.14725342321798016</v>
      </c>
      <c r="O40" s="8">
        <f t="shared" si="11"/>
        <v>0</v>
      </c>
      <c r="P40" s="8">
        <f t="shared" si="12"/>
        <v>23.36972380676808</v>
      </c>
      <c r="Q40" s="8">
        <f t="shared" si="12"/>
        <v>0</v>
      </c>
    </row>
    <row r="41" spans="10:17" ht="13.5" thickBot="1">
      <c r="J41" s="10">
        <v>6000</v>
      </c>
      <c r="K41" s="7">
        <f>B7*B25</f>
        <v>374.41480064247924</v>
      </c>
      <c r="L41" s="11">
        <f>B22*C32</f>
        <v>0</v>
      </c>
      <c r="M41" s="11"/>
      <c r="N41" s="12">
        <f t="shared" si="11"/>
        <v>0.17670410786157617</v>
      </c>
      <c r="O41" s="12">
        <f t="shared" si="11"/>
        <v>0</v>
      </c>
      <c r="P41" s="12">
        <f t="shared" si="12"/>
        <v>28.043668568121692</v>
      </c>
      <c r="Q41" s="12">
        <f t="shared" si="12"/>
        <v>0</v>
      </c>
    </row>
  </sheetData>
  <mergeCells count="5">
    <mergeCell ref="G6:H6"/>
    <mergeCell ref="N7:O7"/>
    <mergeCell ref="K7:L7"/>
    <mergeCell ref="S8:T8"/>
    <mergeCell ref="P7:Q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Sims</dc:creator>
  <cp:keywords/>
  <dc:description/>
  <cp:lastModifiedBy>David Sims</cp:lastModifiedBy>
  <cp:lastPrinted>2001-05-19T10:21:22Z</cp:lastPrinted>
  <dcterms:created xsi:type="dcterms:W3CDTF">2001-05-18T22:02:38Z</dcterms:created>
  <dcterms:modified xsi:type="dcterms:W3CDTF">2002-05-26T22:27:23Z</dcterms:modified>
  <cp:category/>
  <cp:version/>
  <cp:contentType/>
  <cp:contentStatus/>
</cp:coreProperties>
</file>